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<sst xmlns="http://schemas.openxmlformats.org/spreadsheetml/2006/main" count="859" uniqueCount="260">
  <si>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</si>
  <si>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</si>
  <si>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</si>
  <si>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</si>
  <si>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</si>
  <si>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</si>
  <si>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</si>
  <si>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</si>
  <si>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</si>
  <si>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</si>
  <si>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</si>
  <si>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</si>
  <si>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</si>
  <si>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</si>
  <si>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</si>
  <si>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</si>
  <si>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</si>
  <si>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</si>
  <si>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</si>
  <si>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</si>
  <si>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</si>
  <si>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</si>
  <si>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</si>
  <si>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</si>
  <si>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</si>
  <si>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</si>
  <si>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</si>
  <si>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</si>
  <si>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</si>
  <si>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</si>
  <si>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</si>
  <si>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</si>
  <si>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</si>
  <si>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</si>
  <si>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</si>
  <si>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</si>
  <si>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</si>
  <si>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</si>
  <si>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</si>
  <si>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</si>
  <si>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</si>
  <si>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</si>
  <si>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</si>
  <si>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</si>
  <si>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</si>
  <si>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</si>
  <si>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</si>
  <si>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</si>
  <si>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</si>
  <si>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</si>
  <si>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</si>
  <si>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</si>
  <si>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</si>
  <si>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</si>
  <si>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</si>
  <si>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</si>
  <si>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</si>
  <si>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</si>
  <si>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</si>
  <si>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</si>
  <si>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</si>
  <si>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</si>
  <si>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</si>
  <si>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</si>
  <si>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</si>
  <si>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</si>
  <si>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</si>
  <si>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</si>
  <si>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</si>
  <si>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</si>
  <si>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</si>
  <si>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</si>
  <si>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</si>
  <si>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</si>
  <si>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</si>
  <si>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</si>
  <si>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</si>
  <si>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</si>
  <si>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</si>
  <si>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</si>
  <si>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</si>
  <si>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</si>
  <si>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</si>
  <si>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</si>
  <si>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</si>
  <si>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</si>
  <si>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</si>
  <si>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</si>
  <si>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</si>
  <si>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</si>
  <si>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</si>
  <si>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</si>
  <si>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</si>
  <si>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</si>
  <si>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</si>
  <si>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</si>
  <si>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</si>
  <si>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</si>
  <si>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</si>
  <si>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</si>
  <si>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</si>
  <si>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</si>
  <si>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</si>
  <si>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</si>
  <si>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</si>
  <si>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</si>
  <si>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</si>
  <si>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</si>
  <si>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</si>
  <si>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</si>
  <si>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</si>
  <si>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</si>
  <si>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</si>
  <si>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</si>
  <si>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</si>
  <si>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</si>
  <si>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</si>
  <si>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</si>
  <si>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</si>
  <si>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</si>
  <si>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</si>
  <si>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</si>
  <si>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</si>
  <si>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</si>
  <si>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</si>
  <si>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</si>
  <si>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</si>
  <si>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</si>
  <si>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</si>
  <si>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</si>
  <si>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</si>
  <si>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</si>
  <si>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</si>
  <si>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</si>
  <si>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</si>
  <si>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</si>
  <si>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</si>
  <si>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</si>
  <si>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</si>
  <si>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</si>
  <si>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</si>
  <si>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</si>
  <si>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</si>
  <si>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</si>
  <si>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</si>
  <si>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</si>
  <si>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</si>
  <si>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</si>
  <si>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</si>
  <si>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</si>
  <si>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</si>
  <si>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</si>
  <si>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</si>
  <si>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</si>
  <si>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</si>
  <si>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</si>
  <si>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</si>
  <si>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</si>
  <si>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</si>
  <si>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</si>
  <si>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</si>
  <si>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</si>
  <si>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</si>
  <si>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</si>
  <si>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</si>
  <si>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</si>
  <si>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</si>
  <si>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</si>
  <si>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</si>
  <si>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</si>
  <si>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</si>
  <si>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</si>
  <si>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</si>
  <si>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</si>
  <si>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</si>
  <si>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</si>
  <si>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</si>
  <si>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</si>
  <si>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</si>
  <si>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</si>
  <si>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</si>
  <si>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</si>
  <si>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</si>
  <si>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</si>
  <si>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</si>
  <si>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</si>
  <si>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</si>
  <si>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</si>
  <si>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</si>
  <si>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</si>
  <si>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</si>
  <si>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</si>
  <si>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</si>
  <si>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</si>
  <si>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</si>
  <si>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</si>
  <si>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</si>
  <si>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</si>
  <si>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</si>
  <si>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</si>
  <si>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</si>
  <si>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</si>
  <si>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</si>
  <si>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</si>
  <si>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</si>
  <si>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</si>
  <si>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</si>
  <si>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</si>
  <si>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</si>
  <si>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</si>
  <si>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</si>
  <si>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</si>
  <si>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</si>
  <si>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</si>
  <si>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</si>
  <si>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</si>
  <si>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</si>
  <si>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</si>
  <si>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</si>
  <si>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</si>
  <si>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</si>
  <si>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</si>
  <si>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</si>
  <si>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</si>
  <si>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</si>
  <si>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</si>
  <si>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</si>
  <si>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</si>
  <si>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</si>
  <si>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</si>
  <si>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</si>
  <si>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</si>
  <si>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</si>
  <si>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</si>
  <si>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</si>
  <si>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</si>
  <si>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</si>
  <si>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</si>
  <si>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</si>
  <si>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</si>
  <si>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</si>
  <si>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</si>
  <si>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</si>
  <si>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</si>
  <si>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</si>
  <si>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</si>
  <si>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</si>
  <si>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</si>
  <si>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</si>
  <si>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</si>
  <si>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16.04.15 </t>
    </r>
    <r>
      <rPr>
        <b/>
        <sz val="10"/>
        <rFont val="Times New Roman"/>
        <family val="1"/>
      </rPr>
      <t>включно</t>
    </r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</si>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</sst>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6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4" sqref="H11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6" t="s">
        <v>249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117"/>
      <c r="R1" s="118"/>
    </row>
    <row r="2" spans="2:18" s="1" customFormat="1" ht="15.75" customHeight="1">
      <c r="B2" s="184"/>
      <c r="C2" s="184"/>
      <c r="D2" s="18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183"/>
      <c r="C3" s="217" t="s">
        <v>0</v>
      </c>
      <c r="D3" s="218" t="s">
        <v>216</v>
      </c>
      <c r="E3" s="40"/>
      <c r="F3" s="219" t="s">
        <v>107</v>
      </c>
      <c r="G3" s="220"/>
      <c r="H3" s="220"/>
      <c r="I3" s="220"/>
      <c r="J3" s="221"/>
      <c r="K3" s="114"/>
      <c r="L3" s="114"/>
      <c r="M3" s="222" t="s">
        <v>240</v>
      </c>
      <c r="N3" s="223" t="s">
        <v>241</v>
      </c>
      <c r="O3" s="223"/>
      <c r="P3" s="223"/>
      <c r="Q3" s="223"/>
      <c r="R3" s="223"/>
    </row>
    <row r="4" spans="1:18" ht="22.5" customHeight="1">
      <c r="A4" s="185"/>
      <c r="B4" s="183"/>
      <c r="C4" s="217"/>
      <c r="D4" s="218"/>
      <c r="E4" s="224" t="s">
        <v>237</v>
      </c>
      <c r="F4" s="210" t="s">
        <v>116</v>
      </c>
      <c r="G4" s="212" t="s">
        <v>238</v>
      </c>
      <c r="H4" s="214" t="s">
        <v>239</v>
      </c>
      <c r="I4" s="207" t="s">
        <v>217</v>
      </c>
      <c r="J4" s="203" t="s">
        <v>218</v>
      </c>
      <c r="K4" s="116" t="s">
        <v>172</v>
      </c>
      <c r="L4" s="121" t="s">
        <v>171</v>
      </c>
      <c r="M4" s="203"/>
      <c r="N4" s="205" t="s">
        <v>250</v>
      </c>
      <c r="O4" s="207" t="s">
        <v>136</v>
      </c>
      <c r="P4" s="209" t="s">
        <v>135</v>
      </c>
      <c r="Q4" s="122" t="s">
        <v>172</v>
      </c>
      <c r="R4" s="123" t="s">
        <v>171</v>
      </c>
    </row>
    <row r="5" spans="1:19" ht="92.25" customHeight="1">
      <c r="A5" s="182"/>
      <c r="B5" s="183"/>
      <c r="C5" s="217"/>
      <c r="D5" s="218"/>
      <c r="E5" s="225"/>
      <c r="F5" s="211"/>
      <c r="G5" s="213"/>
      <c r="H5" s="215"/>
      <c r="I5" s="208"/>
      <c r="J5" s="204"/>
      <c r="K5" s="200" t="s">
        <v>242</v>
      </c>
      <c r="L5" s="201"/>
      <c r="M5" s="204"/>
      <c r="N5" s="206"/>
      <c r="O5" s="208"/>
      <c r="P5" s="209"/>
      <c r="Q5" s="200" t="s">
        <v>176</v>
      </c>
      <c r="R5" s="20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">
        <f>F10+F19+F31+F34+F35+F47+F30</f>
        <v>160926.06</v>
      </c>
      <c r="G8" s="18">
        <f aca="true" t="shared" si="0" ref="G8:G47">F8-E8</f>
        <v>-16468.869999999995</v>
      </c>
      <c r="H8" s="45">
        <f>F8/E8*100</f>
        <v>90.71626793392574</v>
      </c>
      <c r="I8" s="31">
        <f aca="true" t="shared" si="1" ref="I8:I47">F8-D8</f>
        <v>-356502.94</v>
      </c>
      <c r="J8" s="31">
        <f aca="true" t="shared" si="2" ref="J8:J15">F8/D8*100</f>
        <v>31.10109019788222</v>
      </c>
      <c r="K8" s="18">
        <f>K10+K19+K31+K34+K35+K47</f>
        <v>9280.990000000003</v>
      </c>
      <c r="L8" s="18"/>
      <c r="M8" s="18">
        <f>M10+M19+M31+M34+M35+M47+M30</f>
        <v>41736.35</v>
      </c>
      <c r="N8" s="18">
        <f>N10+N19+N31+N34+N35+N47+N30</f>
        <v>21443.279999999995</v>
      </c>
      <c r="O8" s="31">
        <f aca="true" t="shared" si="3" ref="O8:O50">N8-M8</f>
        <v>-20293.070000000003</v>
      </c>
      <c r="P8" s="31">
        <f>F8/M8*100</f>
        <v>385.57770384808447</v>
      </c>
      <c r="Q8" s="31">
        <f>N8-33748.16</f>
        <v>-12304.880000000008</v>
      </c>
      <c r="R8" s="125">
        <f>N8/33748.16</f>
        <v>0.6353910850250797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94365.23</v>
      </c>
      <c r="G9" s="18">
        <f t="shared" si="0"/>
        <v>94365.23</v>
      </c>
      <c r="H9" s="16"/>
      <c r="I9" s="50">
        <f t="shared" si="1"/>
        <v>-218324.77000000002</v>
      </c>
      <c r="J9" s="50">
        <f t="shared" si="2"/>
        <v>30.178525056765487</v>
      </c>
      <c r="K9" s="50"/>
      <c r="L9" s="50"/>
      <c r="M9" s="16">
        <f>M10+M17</f>
        <v>25134</v>
      </c>
      <c r="N9" s="16">
        <f>N10+N17</f>
        <v>15927.729999999996</v>
      </c>
      <c r="O9" s="31">
        <f t="shared" si="3"/>
        <v>-9206.270000000004</v>
      </c>
      <c r="P9" s="50">
        <f>F9/M9*100</f>
        <v>375.4485159544839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43">
        <v>94365.23</v>
      </c>
      <c r="G10" s="43">
        <f t="shared" si="0"/>
        <v>-7282.75</v>
      </c>
      <c r="H10" s="35">
        <f aca="true" t="shared" si="4" ref="H10:H47">F10/E10*100</f>
        <v>92.83532245303842</v>
      </c>
      <c r="I10" s="50">
        <f t="shared" si="1"/>
        <v>-218324.77000000002</v>
      </c>
      <c r="J10" s="50">
        <f t="shared" si="2"/>
        <v>30.178525056765487</v>
      </c>
      <c r="K10" s="132">
        <f>F10-117120.15/75*60</f>
        <v>669.1100000000006</v>
      </c>
      <c r="L10" s="132">
        <f>F10/(117120.15/75*60)*100</f>
        <v>100.71412775683774</v>
      </c>
      <c r="M10" s="35">
        <f>E10-березень!E10</f>
        <v>25134</v>
      </c>
      <c r="N10" s="35">
        <f>F10-березень!F10</f>
        <v>15927.729999999996</v>
      </c>
      <c r="O10" s="47">
        <f t="shared" si="3"/>
        <v>-9206.270000000004</v>
      </c>
      <c r="P10" s="50">
        <f aca="true" t="shared" si="5" ref="P10:P47">N10/M10*100</f>
        <v>63.371250099466835</v>
      </c>
      <c r="Q10" s="132">
        <f>N10-26568.11</f>
        <v>-10640.380000000005</v>
      </c>
      <c r="R10" s="133">
        <f>N10/26568.11</f>
        <v>0.5995055726583485</v>
      </c>
      <c r="S10" s="158"/>
    </row>
    <row r="11" spans="1:18" s="6" customFormat="1" ht="15.75" hidden="1">
      <c r="A11" s="8"/>
      <c r="B11" s="187" t="s">
        <v>255</v>
      </c>
      <c r="C11" s="134">
        <v>11010100</v>
      </c>
      <c r="D11" s="135">
        <v>0</v>
      </c>
      <c r="E11" s="135">
        <v>0</v>
      </c>
      <c r="F11" s="144">
        <v>83632.98</v>
      </c>
      <c r="G11" s="135">
        <f t="shared" si="0"/>
        <v>83632.98</v>
      </c>
      <c r="H11" s="137" t="e">
        <f t="shared" si="4"/>
        <v>#DIV/0!</v>
      </c>
      <c r="I11" s="136">
        <f t="shared" si="1"/>
        <v>83632.98</v>
      </c>
      <c r="J11" s="136" t="e">
        <f t="shared" si="2"/>
        <v>#DIV/0!</v>
      </c>
      <c r="K11" s="136">
        <f>F11-106961.61/75*60</f>
        <v>-1936.3080000000045</v>
      </c>
      <c r="L11" s="136">
        <f>F11/(106961.61/75*60)*100</f>
        <v>97.7371460657707</v>
      </c>
      <c r="M11" s="137">
        <f>E11-березень!E11</f>
        <v>0</v>
      </c>
      <c r="N11" s="137">
        <f>F11-березень!F11</f>
        <v>83632.98</v>
      </c>
      <c r="O11" s="138">
        <f t="shared" si="3"/>
        <v>83632.98</v>
      </c>
      <c r="P11" s="136" t="e">
        <f t="shared" si="5"/>
        <v>#DIV/0!</v>
      </c>
      <c r="Q11" s="50"/>
      <c r="R11" s="126"/>
    </row>
    <row r="12" spans="1:18" s="6" customFormat="1" ht="15.75" hidden="1">
      <c r="A12" s="8"/>
      <c r="B12" s="187" t="s">
        <v>251</v>
      </c>
      <c r="C12" s="134">
        <v>11010200</v>
      </c>
      <c r="D12" s="135">
        <v>0</v>
      </c>
      <c r="E12" s="135">
        <v>0</v>
      </c>
      <c r="F12" s="144">
        <v>5218.58</v>
      </c>
      <c r="G12" s="135">
        <f t="shared" si="0"/>
        <v>5218.58</v>
      </c>
      <c r="H12" s="137" t="e">
        <f t="shared" si="4"/>
        <v>#DIV/0!</v>
      </c>
      <c r="I12" s="136">
        <f t="shared" si="1"/>
        <v>5218.58</v>
      </c>
      <c r="J12" s="136" t="e">
        <f t="shared" si="2"/>
        <v>#DIV/0!</v>
      </c>
      <c r="K12" s="136">
        <f>F12-6905.65/75*60</f>
        <v>-305.9400000000005</v>
      </c>
      <c r="L12" s="136">
        <f>F12/(6905.65/75*60)*100</f>
        <v>94.46214331742847</v>
      </c>
      <c r="M12" s="137">
        <f>E12-березень!E12</f>
        <v>0</v>
      </c>
      <c r="N12" s="137">
        <f>F12-березень!F12</f>
        <v>5218.58</v>
      </c>
      <c r="O12" s="138">
        <f t="shared" si="3"/>
        <v>5218.58</v>
      </c>
      <c r="P12" s="136" t="e">
        <f t="shared" si="5"/>
        <v>#DIV/0!</v>
      </c>
      <c r="Q12" s="50"/>
      <c r="R12" s="126"/>
    </row>
    <row r="13" spans="1:18" s="6" customFormat="1" ht="15.75" hidden="1">
      <c r="A13" s="8"/>
      <c r="B13" s="187" t="s">
        <v>254</v>
      </c>
      <c r="C13" s="134">
        <v>11010400</v>
      </c>
      <c r="D13" s="135">
        <v>0</v>
      </c>
      <c r="E13" s="135">
        <v>0</v>
      </c>
      <c r="F13" s="144">
        <v>1423.22</v>
      </c>
      <c r="G13" s="135">
        <f t="shared" si="0"/>
        <v>1423.22</v>
      </c>
      <c r="H13" s="137" t="e">
        <f t="shared" si="4"/>
        <v>#DIV/0!</v>
      </c>
      <c r="I13" s="136">
        <f t="shared" si="1"/>
        <v>1423.22</v>
      </c>
      <c r="J13" s="136" t="e">
        <f t="shared" si="2"/>
        <v>#DIV/0!</v>
      </c>
      <c r="K13" s="136">
        <f>F13-1478.58/75*60</f>
        <v>240.35600000000022</v>
      </c>
      <c r="L13" s="136">
        <f>F13/(1478.58/75*60)*100</f>
        <v>120.31983389468274</v>
      </c>
      <c r="M13" s="137">
        <f>E13-березень!E13</f>
        <v>0</v>
      </c>
      <c r="N13" s="137">
        <f>F13-березень!F13</f>
        <v>1423.22</v>
      </c>
      <c r="O13" s="138">
        <f t="shared" si="3"/>
        <v>1423.22</v>
      </c>
      <c r="P13" s="136" t="e">
        <f t="shared" si="5"/>
        <v>#DIV/0!</v>
      </c>
      <c r="Q13" s="50"/>
      <c r="R13" s="126"/>
    </row>
    <row r="14" spans="1:18" s="6" customFormat="1" ht="15.75" hidden="1">
      <c r="A14" s="8"/>
      <c r="B14" s="187" t="s">
        <v>252</v>
      </c>
      <c r="C14" s="134">
        <v>11010500</v>
      </c>
      <c r="D14" s="135">
        <v>0</v>
      </c>
      <c r="E14" s="135">
        <v>0</v>
      </c>
      <c r="F14" s="144">
        <v>1364.19</v>
      </c>
      <c r="G14" s="135">
        <f t="shared" si="0"/>
        <v>1364.19</v>
      </c>
      <c r="H14" s="137" t="e">
        <f t="shared" si="4"/>
        <v>#DIV/0!</v>
      </c>
      <c r="I14" s="136">
        <f t="shared" si="1"/>
        <v>1364.19</v>
      </c>
      <c r="J14" s="136" t="e">
        <f t="shared" si="2"/>
        <v>#DIV/0!</v>
      </c>
      <c r="K14" s="136">
        <f>F14-1774.3/75*60</f>
        <v>-55.25</v>
      </c>
      <c r="L14" s="136">
        <f>F14/(1774.3/75*60)*100</f>
        <v>96.10761990644198</v>
      </c>
      <c r="M14" s="137">
        <f>E14-березень!E14</f>
        <v>0</v>
      </c>
      <c r="N14" s="137">
        <f>F14-березень!F14</f>
        <v>1364.19</v>
      </c>
      <c r="O14" s="138">
        <f t="shared" si="3"/>
        <v>1364.19</v>
      </c>
      <c r="P14" s="136" t="e">
        <f t="shared" si="5"/>
        <v>#DIV/0!</v>
      </c>
      <c r="Q14" s="50"/>
      <c r="R14" s="126"/>
    </row>
    <row r="15" spans="1:18" s="6" customFormat="1" ht="15.75" hidden="1">
      <c r="A15" s="8"/>
      <c r="B15" s="187" t="s">
        <v>253</v>
      </c>
      <c r="C15" s="134">
        <v>11010900</v>
      </c>
      <c r="D15" s="135">
        <v>0</v>
      </c>
      <c r="E15" s="135">
        <v>0</v>
      </c>
      <c r="F15" s="144">
        <v>2726.26</v>
      </c>
      <c r="G15" s="135">
        <f t="shared" si="0"/>
        <v>2726.26</v>
      </c>
      <c r="H15" s="137" t="e">
        <f t="shared" si="4"/>
        <v>#DIV/0!</v>
      </c>
      <c r="I15" s="136">
        <f t="shared" si="1"/>
        <v>2726.26</v>
      </c>
      <c r="J15" s="136" t="e">
        <f t="shared" si="2"/>
        <v>#DIV/0!</v>
      </c>
      <c r="K15" s="136">
        <f>F15-0</f>
        <v>2726.26</v>
      </c>
      <c r="L15" s="136"/>
      <c r="M15" s="137">
        <f>E15-березень!E15</f>
        <v>0</v>
      </c>
      <c r="N15" s="137">
        <f>F15-березень!F15</f>
        <v>2726.26</v>
      </c>
      <c r="O15" s="138">
        <f t="shared" si="3"/>
        <v>2726.26</v>
      </c>
      <c r="P15" s="136" t="e">
        <f t="shared" si="5"/>
        <v>#DIV/0!</v>
      </c>
      <c r="Q15" s="50"/>
      <c r="R15" s="126"/>
    </row>
    <row r="16" spans="1:18" s="6" customFormat="1" ht="47.25" customHeight="1" hidden="1">
      <c r="A16" s="8"/>
      <c r="B16" s="14"/>
      <c r="C16" s="59"/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/>
      <c r="C17" s="59"/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/>
      <c r="C18" s="92"/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-913.33</v>
      </c>
      <c r="G19" s="43">
        <f t="shared" si="0"/>
        <v>-1084.53</v>
      </c>
      <c r="H19" s="35"/>
      <c r="I19" s="50">
        <f t="shared" si="1"/>
        <v>-1413.33</v>
      </c>
      <c r="J19" s="50">
        <f aca="true" t="shared" si="6" ref="J19:J31">F19/D19*100</f>
        <v>-182.66600000000003</v>
      </c>
      <c r="K19" s="50">
        <f>F19-552.92</f>
        <v>-1466.25</v>
      </c>
      <c r="L19" s="50">
        <f>F19/552.92*100</f>
        <v>-165.18302828618968</v>
      </c>
      <c r="M19" s="35">
        <f>E19-березень!E19</f>
        <v>0</v>
      </c>
      <c r="N19" s="35">
        <f>F19-березень!F19</f>
        <v>106.54999999999995</v>
      </c>
      <c r="O19" s="47">
        <f t="shared" si="3"/>
        <v>106.54999999999995</v>
      </c>
      <c r="P19" s="50"/>
      <c r="Q19" s="50">
        <f>N19-358.81</f>
        <v>-252.26000000000005</v>
      </c>
      <c r="R19" s="126">
        <f>N19/358.81</f>
        <v>0.29695381957024597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44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43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43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68">
        <v>10157.95</v>
      </c>
      <c r="G34" s="43">
        <f t="shared" si="0"/>
        <v>-2504.7999999999993</v>
      </c>
      <c r="H34" s="35">
        <f t="shared" si="4"/>
        <v>80.21914670983791</v>
      </c>
      <c r="I34" s="50">
        <f t="shared" si="1"/>
        <v>-19792.05</v>
      </c>
      <c r="J34" s="178">
        <f>F34/D34*100</f>
        <v>33.91636060100167</v>
      </c>
      <c r="K34" s="179">
        <f>F34-0</f>
        <v>10157.95</v>
      </c>
      <c r="L34" s="180"/>
      <c r="M34" s="35">
        <f>E34-березень!E33</f>
        <v>2722.75</v>
      </c>
      <c r="N34" s="35">
        <f>F34-березень!F33</f>
        <v>87.47000000000116</v>
      </c>
      <c r="O34" s="47">
        <f t="shared" si="3"/>
        <v>-2635.279999999999</v>
      </c>
      <c r="P34" s="50">
        <f t="shared" si="5"/>
        <v>3.2125608300431976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69">
        <f>F36+F40+F42+F41</f>
        <v>55251.619999999995</v>
      </c>
      <c r="G35" s="43">
        <f t="shared" si="0"/>
        <v>-5653.880000000005</v>
      </c>
      <c r="H35" s="35">
        <f t="shared" si="4"/>
        <v>90.71696316424624</v>
      </c>
      <c r="I35" s="50">
        <f t="shared" si="1"/>
        <v>-111518.38</v>
      </c>
      <c r="J35" s="178">
        <f aca="true" t="shared" si="11" ref="J35:J47">F35/D35*100</f>
        <v>33.13043113269772</v>
      </c>
      <c r="K35" s="178">
        <f>K36+K40+K41+K42</f>
        <v>477.02000000000226</v>
      </c>
      <c r="L35" s="136"/>
      <c r="M35" s="35">
        <f>E35-березень!E34</f>
        <v>13870.5</v>
      </c>
      <c r="N35" s="35">
        <f>F35-березень!F34</f>
        <v>5272.639999999999</v>
      </c>
      <c r="O35" s="47">
        <f t="shared" si="3"/>
        <v>-8597.86</v>
      </c>
      <c r="P35" s="50">
        <f t="shared" si="5"/>
        <v>38.01333765906059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69">
        <f>F37+F38+F39</f>
        <v>26575.29</v>
      </c>
      <c r="G36" s="43">
        <f t="shared" si="0"/>
        <v>-5277.709999999999</v>
      </c>
      <c r="H36" s="35">
        <f t="shared" si="4"/>
        <v>83.43104260195273</v>
      </c>
      <c r="I36" s="50">
        <f t="shared" si="1"/>
        <v>-71624.70999999999</v>
      </c>
      <c r="J36" s="178">
        <f t="shared" si="11"/>
        <v>27.062413441955197</v>
      </c>
      <c r="K36" s="178">
        <f>K37+K38+K39</f>
        <v>530.0100000000035</v>
      </c>
      <c r="L36" s="136"/>
      <c r="M36" s="35">
        <f>E36-березень!E35</f>
        <v>8066</v>
      </c>
      <c r="N36" s="35">
        <f>F36-березень!F35</f>
        <v>1965.0300000000025</v>
      </c>
      <c r="O36" s="47">
        <f t="shared" si="3"/>
        <v>-6100.9699999999975</v>
      </c>
      <c r="P36" s="50">
        <f t="shared" si="5"/>
        <v>24.36188941234816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44">
        <v>1046.46</v>
      </c>
      <c r="G37" s="135">
        <f t="shared" si="0"/>
        <v>775.46</v>
      </c>
      <c r="H37" s="137">
        <f t="shared" si="4"/>
        <v>386.1476014760148</v>
      </c>
      <c r="I37" s="136">
        <f t="shared" si="1"/>
        <v>46.460000000000036</v>
      </c>
      <c r="J37" s="136">
        <f t="shared" si="11"/>
        <v>104.646</v>
      </c>
      <c r="K37" s="136">
        <f>F37-127.86</f>
        <v>918.6</v>
      </c>
      <c r="L37" s="136">
        <f>F37/127.86*100</f>
        <v>818.4420459877991</v>
      </c>
      <c r="M37" s="35">
        <f>E37-березень!E36</f>
        <v>161</v>
      </c>
      <c r="N37" s="35">
        <f>F37-березень!F36</f>
        <v>520.1800000000001</v>
      </c>
      <c r="O37" s="47">
        <f t="shared" si="3"/>
        <v>359.18000000000006</v>
      </c>
      <c r="P37" s="50">
        <f t="shared" si="5"/>
        <v>323.0931677018634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44">
        <v>64.75</v>
      </c>
      <c r="G38" s="135">
        <f t="shared" si="0"/>
        <v>-185.25</v>
      </c>
      <c r="H38" s="137"/>
      <c r="I38" s="136">
        <f t="shared" si="1"/>
        <v>-1435.25</v>
      </c>
      <c r="J38" s="136">
        <f t="shared" si="11"/>
        <v>4.316666666666666</v>
      </c>
      <c r="K38" s="136">
        <f>F38-0</f>
        <v>64.75</v>
      </c>
      <c r="L38" s="136"/>
      <c r="M38" s="35">
        <f>E38-березень!E37</f>
        <v>250</v>
      </c>
      <c r="N38" s="35">
        <f>F38-березень!F37</f>
        <v>27.049999999999997</v>
      </c>
      <c r="O38" s="47">
        <f t="shared" si="3"/>
        <v>-222.95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44">
        <v>25464.08</v>
      </c>
      <c r="G39" s="135">
        <f t="shared" si="0"/>
        <v>-5867.919999999998</v>
      </c>
      <c r="H39" s="137">
        <f t="shared" si="4"/>
        <v>81.27179879994894</v>
      </c>
      <c r="I39" s="136">
        <f t="shared" si="1"/>
        <v>-70235.92</v>
      </c>
      <c r="J39" s="136">
        <f t="shared" si="11"/>
        <v>26.60823406478579</v>
      </c>
      <c r="K39" s="139">
        <f>F39-25917.42</f>
        <v>-453.3399999999965</v>
      </c>
      <c r="L39" s="139">
        <f>F39/25917.42*100</f>
        <v>98.25082897911908</v>
      </c>
      <c r="M39" s="35">
        <f>E39-березень!E38</f>
        <v>7655</v>
      </c>
      <c r="N39" s="35">
        <f>F39-березень!F38</f>
        <v>1417.800000000003</v>
      </c>
      <c r="O39" s="47">
        <f t="shared" si="3"/>
        <v>-6237.199999999997</v>
      </c>
      <c r="P39" s="50">
        <f t="shared" si="5"/>
        <v>18.521227955584624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68">
        <v>17.62</v>
      </c>
      <c r="G40" s="43">
        <f t="shared" si="0"/>
        <v>5.120000000000001</v>
      </c>
      <c r="H40" s="35">
        <f t="shared" si="4"/>
        <v>140.96</v>
      </c>
      <c r="I40" s="50">
        <f t="shared" si="1"/>
        <v>-52.379999999999995</v>
      </c>
      <c r="J40" s="178">
        <f t="shared" si="11"/>
        <v>25.17142857142857</v>
      </c>
      <c r="K40" s="178">
        <f>F40-22.12</f>
        <v>-4.5</v>
      </c>
      <c r="L40" s="178">
        <f>F40/22.12*100</f>
        <v>79.65641952983725</v>
      </c>
      <c r="M40" s="35">
        <f>E40-березень!E39</f>
        <v>4.5</v>
      </c>
      <c r="N40" s="35">
        <f>F40-березень!F39</f>
        <v>0</v>
      </c>
      <c r="O40" s="47">
        <f t="shared" si="3"/>
        <v>-4.5</v>
      </c>
      <c r="P40" s="50">
        <f t="shared" si="5"/>
        <v>0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68">
        <v>-19.5</v>
      </c>
      <c r="G41" s="43">
        <f t="shared" si="0"/>
        <v>-19.5</v>
      </c>
      <c r="H41" s="35"/>
      <c r="I41" s="50">
        <f t="shared" si="1"/>
        <v>-19.5</v>
      </c>
      <c r="J41" s="136"/>
      <c r="K41" s="178">
        <f>F41-2145.36</f>
        <v>-2164.86</v>
      </c>
      <c r="L41" s="178">
        <f>F41/2145.36*100</f>
        <v>-0.9089383599955252</v>
      </c>
      <c r="M41" s="35">
        <f>E41-березень!E40</f>
        <v>0</v>
      </c>
      <c r="N41" s="35">
        <f>F41-березень!F40</f>
        <v>-32.39</v>
      </c>
      <c r="O41" s="47">
        <f t="shared" si="3"/>
        <v>-32.39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68">
        <v>28678.21</v>
      </c>
      <c r="G42" s="43">
        <f t="shared" si="0"/>
        <v>-361.7900000000009</v>
      </c>
      <c r="H42" s="35">
        <f t="shared" si="4"/>
        <v>98.75416666666666</v>
      </c>
      <c r="I42" s="50">
        <f t="shared" si="1"/>
        <v>-39821.79</v>
      </c>
      <c r="J42" s="178">
        <f t="shared" si="11"/>
        <v>41.866</v>
      </c>
      <c r="K42" s="132">
        <f>F42-26561.84</f>
        <v>2116.369999999999</v>
      </c>
      <c r="L42" s="132">
        <f>F42/26561.84*100</f>
        <v>107.96770856235862</v>
      </c>
      <c r="M42" s="35">
        <f>E42-березень!E41</f>
        <v>5800</v>
      </c>
      <c r="N42" s="35">
        <f>F42-березень!F41</f>
        <v>3340</v>
      </c>
      <c r="O42" s="47">
        <f t="shared" si="3"/>
        <v>-2460</v>
      </c>
      <c r="P42" s="50">
        <f t="shared" si="5"/>
        <v>57.58620689655173</v>
      </c>
      <c r="Q42" s="139"/>
      <c r="R42" s="140"/>
    </row>
    <row r="43" spans="1:18" s="6" customFormat="1" ht="15.75" hidden="1">
      <c r="A43" s="8"/>
      <c r="B43" s="69" t="s">
        <v>256</v>
      </c>
      <c r="C43" s="134">
        <v>18050200</v>
      </c>
      <c r="D43" s="135"/>
      <c r="E43" s="135"/>
      <c r="F43" s="144">
        <v>-1.22</v>
      </c>
      <c r="G43" s="135"/>
      <c r="H43" s="137"/>
      <c r="I43" s="136"/>
      <c r="J43" s="136"/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257</v>
      </c>
      <c r="C44" s="134">
        <v>18050300</v>
      </c>
      <c r="D44" s="135"/>
      <c r="E44" s="135"/>
      <c r="F44" s="144">
        <v>7213.68</v>
      </c>
      <c r="G44" s="135"/>
      <c r="H44" s="137"/>
      <c r="I44" s="136"/>
      <c r="J44" s="136"/>
      <c r="K44" s="139">
        <f>F44-6631.94</f>
        <v>581.7400000000007</v>
      </c>
      <c r="L44" s="139">
        <f>F44/6631.94*100</f>
        <v>108.77179226591316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258</v>
      </c>
      <c r="C45" s="134">
        <v>18050400</v>
      </c>
      <c r="D45" s="135"/>
      <c r="E45" s="135"/>
      <c r="F45" s="144">
        <v>21461.05</v>
      </c>
      <c r="G45" s="135"/>
      <c r="H45" s="137"/>
      <c r="I45" s="136"/>
      <c r="J45" s="136"/>
      <c r="K45" s="139">
        <f>F45-19929.61</f>
        <v>1531.4399999999987</v>
      </c>
      <c r="L45" s="139">
        <f>F45/19929.61*100</f>
        <v>107.6842446992189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259</v>
      </c>
      <c r="C46" s="134">
        <v>18050500</v>
      </c>
      <c r="D46" s="135"/>
      <c r="E46" s="135"/>
      <c r="F46" s="144">
        <v>4.69</v>
      </c>
      <c r="G46" s="135"/>
      <c r="H46" s="137"/>
      <c r="I46" s="136"/>
      <c r="J46" s="136"/>
      <c r="K46" s="139">
        <f>F46-0</f>
        <v>4.69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68">
        <v>2048.7</v>
      </c>
      <c r="G47" s="43">
        <f t="shared" si="0"/>
        <v>54.19999999999982</v>
      </c>
      <c r="H47" s="35">
        <f t="shared" si="4"/>
        <v>102.71747305088994</v>
      </c>
      <c r="I47" s="50">
        <f t="shared" si="1"/>
        <v>-5451.3</v>
      </c>
      <c r="J47" s="136">
        <f t="shared" si="11"/>
        <v>27.315999999999995</v>
      </c>
      <c r="K47" s="178">
        <f>F47-2618.43</f>
        <v>-569.73</v>
      </c>
      <c r="L47" s="178">
        <f>F47/2618.43*100</f>
        <v>78.24154168719424</v>
      </c>
      <c r="M47" s="35">
        <f>E47-березень!E42</f>
        <v>9.099999999999909</v>
      </c>
      <c r="N47" s="35">
        <f>F47-березень!F42</f>
        <v>48.79999999999973</v>
      </c>
      <c r="O47" s="47">
        <f t="shared" si="3"/>
        <v>39.69999999999982</v>
      </c>
      <c r="P47" s="50">
        <f t="shared" si="5"/>
        <v>536.2637362637386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43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52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43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43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43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">
        <f>F56+F57+F58+F59+F60+F68+F69+F70+F72+F76+F67+F66</f>
        <v>9412.169999999998</v>
      </c>
      <c r="G53" s="44">
        <f aca="true" t="shared" si="12" ref="G53:G78">F53-E53</f>
        <v>5323.669999999998</v>
      </c>
      <c r="H53" s="45">
        <f>F53/E53*100</f>
        <v>230.21083526965876</v>
      </c>
      <c r="I53" s="31">
        <f aca="true" t="shared" si="13" ref="I53:I78">F53-D53</f>
        <v>-3154.930000000002</v>
      </c>
      <c r="J53" s="31">
        <f aca="true" t="shared" si="14" ref="J53:J63">F53/D53*100</f>
        <v>74.8953219119765</v>
      </c>
      <c r="K53" s="18">
        <f>K56+K57+K58+K59+K60+K68+K69+K70+K72+K76+K67</f>
        <v>5224.8499999999985</v>
      </c>
      <c r="L53" s="18"/>
      <c r="M53" s="18">
        <f>M56+M57+M58+M59+M60+M68+M69+M70+M72+M76+M67+M66</f>
        <v>1052.5</v>
      </c>
      <c r="N53" s="18">
        <f>N56+N57+N58+N59+N60+N68+N69+N70+N72+N76+N67+N66</f>
        <v>1762.8899999999994</v>
      </c>
      <c r="O53" s="49">
        <f aca="true" t="shared" si="15" ref="O53:O78">N53-M53</f>
        <v>710.3899999999994</v>
      </c>
      <c r="P53" s="31">
        <f>N53/M53*100</f>
        <v>167.49548693586692</v>
      </c>
      <c r="Q53" s="31">
        <f>N53-1017.63</f>
        <v>745.2599999999994</v>
      </c>
      <c r="R53" s="127">
        <f>N53/1017.63</f>
        <v>1.732348692550337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53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54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43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43">
        <v>6.5</v>
      </c>
      <c r="G58" s="43">
        <f t="shared" si="12"/>
        <v>6.5</v>
      </c>
      <c r="H58" s="35"/>
      <c r="I58" s="50">
        <f t="shared" si="13"/>
        <v>6.5</v>
      </c>
      <c r="J58" s="50"/>
      <c r="K58" s="50">
        <f>F58-212.16</f>
        <v>-205.66</v>
      </c>
      <c r="L58" s="50">
        <f>F58/212.16*100</f>
        <v>3.0637254901960786</v>
      </c>
      <c r="M58" s="35">
        <f>E58-березень!E61</f>
        <v>0</v>
      </c>
      <c r="N58" s="35">
        <f>F58-березень!F61</f>
        <v>2.46</v>
      </c>
      <c r="O58" s="47">
        <f t="shared" si="15"/>
        <v>2.46</v>
      </c>
      <c r="P58" s="50"/>
      <c r="Q58" s="50">
        <f>N58-4.23</f>
        <v>-1.7700000000000005</v>
      </c>
      <c r="R58" s="126">
        <f>N58/4.23</f>
        <v>0.5815602836879432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43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43">
        <v>37.58</v>
      </c>
      <c r="G60" s="43">
        <f t="shared" si="12"/>
        <v>0.5799999999999983</v>
      </c>
      <c r="H60" s="35">
        <f>F60/E60*100</f>
        <v>101.56756756756758</v>
      </c>
      <c r="I60" s="50">
        <f t="shared" si="13"/>
        <v>-102.42</v>
      </c>
      <c r="J60" s="50">
        <v>10</v>
      </c>
      <c r="K60" s="50">
        <f>F60-34.44</f>
        <v>3.1400000000000006</v>
      </c>
      <c r="L60" s="50">
        <f>F60/34.44*100</f>
        <v>109.11730545876888</v>
      </c>
      <c r="M60" s="35">
        <f>E60-березень!E63</f>
        <v>12</v>
      </c>
      <c r="N60" s="35">
        <f>F60-березень!F63</f>
        <v>6.819999999999997</v>
      </c>
      <c r="O60" s="47">
        <f t="shared" si="15"/>
        <v>-5.180000000000003</v>
      </c>
      <c r="P60" s="50">
        <f>N60/M60*100</f>
        <v>56.8333333333333</v>
      </c>
      <c r="Q60" s="50">
        <f>N60-9.02</f>
        <v>-2.200000000000003</v>
      </c>
      <c r="R60" s="126">
        <f>N60/9.02</f>
        <v>0.7560975609756094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43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43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43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43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43">
        <v>1</v>
      </c>
      <c r="G66" s="43"/>
      <c r="H66" s="35"/>
      <c r="I66" s="50">
        <f>F66-D66</f>
        <v>1</v>
      </c>
      <c r="J66" s="50"/>
      <c r="K66" s="50">
        <f>F66-0</f>
        <v>1</v>
      </c>
      <c r="L66" s="50"/>
      <c r="M66" s="35">
        <f>E66-березень!E69</f>
        <v>0</v>
      </c>
      <c r="N66" s="35">
        <f>F66-березень!F69</f>
        <v>0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43">
        <v>2922.2</v>
      </c>
      <c r="G67" s="43"/>
      <c r="H67" s="35"/>
      <c r="I67" s="50">
        <f t="shared" si="13"/>
        <v>2922.2</v>
      </c>
      <c r="J67" s="50"/>
      <c r="K67" s="50">
        <f>F67-0</f>
        <v>2922.2</v>
      </c>
      <c r="L67" s="50"/>
      <c r="M67" s="35">
        <f>E67-березень!E70</f>
        <v>0</v>
      </c>
      <c r="N67" s="35">
        <f>F67-березень!F70</f>
        <v>393.6199999999999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43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43">
        <v>2508.58</v>
      </c>
      <c r="G69" s="43">
        <f t="shared" si="12"/>
        <v>2198.58</v>
      </c>
      <c r="H69" s="35">
        <f>F69/E69*100</f>
        <v>809.2193548387096</v>
      </c>
      <c r="I69" s="50">
        <f t="shared" si="13"/>
        <v>1408.58</v>
      </c>
      <c r="J69" s="50">
        <v>90</v>
      </c>
      <c r="K69" s="50">
        <f>F69-279.59</f>
        <v>2228.99</v>
      </c>
      <c r="L69" s="50">
        <f>F69/279.59*100</f>
        <v>897.2352373117781</v>
      </c>
      <c r="M69" s="35">
        <f>E69-березень!E72</f>
        <v>80</v>
      </c>
      <c r="N69" s="35">
        <f>F69-березень!F72</f>
        <v>326.5999999999999</v>
      </c>
      <c r="O69" s="47">
        <f t="shared" si="15"/>
        <v>246.5999999999999</v>
      </c>
      <c r="P69" s="50">
        <f>N69/M69*100</f>
        <v>408.2499999999999</v>
      </c>
      <c r="Q69" s="50">
        <f>N69-79.51</f>
        <v>247.08999999999992</v>
      </c>
      <c r="R69" s="126">
        <f>N69/79.51</f>
        <v>4.1076594139101985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43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43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43">
        <v>1178.59</v>
      </c>
      <c r="G72" s="43">
        <f t="shared" si="12"/>
        <v>-91.41000000000008</v>
      </c>
      <c r="H72" s="35">
        <f>F72/E72*100</f>
        <v>92.8023622047244</v>
      </c>
      <c r="I72" s="50">
        <f t="shared" si="13"/>
        <v>-3021.41</v>
      </c>
      <c r="J72" s="50">
        <f>F72/D72*100</f>
        <v>28.061666666666664</v>
      </c>
      <c r="K72" s="50">
        <f>F72-1238.46</f>
        <v>-59.87000000000012</v>
      </c>
      <c r="L72" s="50">
        <f>F72/1238.46*100</f>
        <v>95.16577039226135</v>
      </c>
      <c r="M72" s="35">
        <f>E72-березень!E75</f>
        <v>320</v>
      </c>
      <c r="N72" s="35">
        <f>F72-березень!F75</f>
        <v>218.1199999999999</v>
      </c>
      <c r="O72" s="47">
        <f t="shared" si="15"/>
        <v>-101.88000000000011</v>
      </c>
      <c r="P72" s="50">
        <f t="shared" si="16"/>
        <v>68.16249999999997</v>
      </c>
      <c r="Q72" s="50">
        <f>N72-277.38</f>
        <v>-59.260000000000105</v>
      </c>
      <c r="R72" s="126">
        <f>N72/277.38</f>
        <v>0.7863580647487198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43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44">
        <v>286.2</v>
      </c>
      <c r="G75" s="135">
        <f t="shared" si="12"/>
        <v>286.2</v>
      </c>
      <c r="H75" s="137"/>
      <c r="I75" s="136">
        <f t="shared" si="13"/>
        <v>286.2</v>
      </c>
      <c r="J75" s="136"/>
      <c r="K75" s="136">
        <f>F75-234.45</f>
        <v>51.75</v>
      </c>
      <c r="L75" s="138">
        <f>F75/234.45*100</f>
        <v>122.07293666026871</v>
      </c>
      <c r="M75" s="35">
        <f>E75-березень!E78</f>
        <v>0</v>
      </c>
      <c r="N75" s="35">
        <f>F75-березень!F78</f>
        <v>46.599999999999994</v>
      </c>
      <c r="O75" s="138">
        <f t="shared" si="15"/>
        <v>46.599999999999994</v>
      </c>
      <c r="P75" s="136"/>
      <c r="Q75" s="50">
        <f>N75-64.93</f>
        <v>-18.330000000000013</v>
      </c>
      <c r="R75" s="126">
        <f>N75/64.93</f>
        <v>0.7176959802864622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43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43">
        <v>6.33</v>
      </c>
      <c r="G77" s="43">
        <f t="shared" si="12"/>
        <v>-2.0700000000000003</v>
      </c>
      <c r="H77" s="35">
        <f>F77/E77*100</f>
        <v>75.35714285714286</v>
      </c>
      <c r="I77" s="50">
        <f t="shared" si="13"/>
        <v>-20.17</v>
      </c>
      <c r="J77" s="50">
        <f>F77/D77*100</f>
        <v>23.88679245283019</v>
      </c>
      <c r="K77" s="50">
        <f>F77-9.01</f>
        <v>-2.6799999999999997</v>
      </c>
      <c r="L77" s="50">
        <f>F77/9.01*100</f>
        <v>70.25527192008879</v>
      </c>
      <c r="M77" s="35">
        <f>E77-березень!E80</f>
        <v>2.2</v>
      </c>
      <c r="N77" s="35">
        <f>F77-березень!F80</f>
        <v>0.23000000000000043</v>
      </c>
      <c r="O77" s="47">
        <f t="shared" si="15"/>
        <v>-1.9699999999999998</v>
      </c>
      <c r="P77" s="50">
        <f t="shared" si="16"/>
        <v>10.454545454545473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43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">
        <f>F8+F53+F77+F78</f>
        <v>170344.57999999996</v>
      </c>
      <c r="G79" s="44">
        <f>F79-E79</f>
        <v>-11147.25000000003</v>
      </c>
      <c r="H79" s="45">
        <f>F79/E79*100</f>
        <v>93.85798798766864</v>
      </c>
      <c r="I79" s="31">
        <f>F79-D79</f>
        <v>-359678.02</v>
      </c>
      <c r="J79" s="31">
        <f>F79/D79*100</f>
        <v>32.13911633202055</v>
      </c>
      <c r="K79" s="31">
        <f>K8+K53+K77+K78</f>
        <v>14503.140000000001</v>
      </c>
      <c r="L79" s="31"/>
      <c r="M79" s="18">
        <f>M8+M53+M77+M78</f>
        <v>42791.049999999996</v>
      </c>
      <c r="N79" s="18">
        <f>N8+N53+N77+N78</f>
        <v>23206.399999999994</v>
      </c>
      <c r="O79" s="49">
        <f>N79-M79</f>
        <v>-19584.65</v>
      </c>
      <c r="P79" s="31">
        <f>N79/M79*100</f>
        <v>54.23190129711703</v>
      </c>
      <c r="Q79" s="31">
        <f>N79-34768</f>
        <v>-11561.600000000006</v>
      </c>
      <c r="R79" s="171">
        <f>N79/34768</f>
        <v>0.6674643350207086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12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12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4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46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6" t="s">
        <v>248</v>
      </c>
      <c r="C84" s="86">
        <v>12020100</v>
      </c>
      <c r="D84" s="28"/>
      <c r="E84" s="28"/>
      <c r="F84" s="146">
        <v>4.38</v>
      </c>
      <c r="G84" s="43"/>
      <c r="H84" s="35"/>
      <c r="I84" s="53"/>
      <c r="J84" s="53"/>
      <c r="K84" s="53"/>
      <c r="L84" s="53"/>
      <c r="M84" s="36"/>
      <c r="N84" s="36">
        <f>F84</f>
        <v>4.38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45">
        <f>SUM(F84:F85)</f>
        <v>-10.27</v>
      </c>
      <c r="G86" s="55">
        <f t="shared" si="17"/>
        <v>-10.27</v>
      </c>
      <c r="H86" s="65"/>
      <c r="I86" s="54">
        <f t="shared" si="18"/>
        <v>-10.27</v>
      </c>
      <c r="J86" s="54"/>
      <c r="K86" s="54">
        <f>F86-(-111.2)</f>
        <v>100.93</v>
      </c>
      <c r="L86" s="54">
        <f>F86/223.32*100</f>
        <v>-4.598782016836826</v>
      </c>
      <c r="M86" s="55">
        <f>M85</f>
        <v>0</v>
      </c>
      <c r="N86" s="33">
        <f>SUM(N84:N85)</f>
        <v>4.38</v>
      </c>
      <c r="O86" s="54">
        <f t="shared" si="19"/>
        <v>4.38</v>
      </c>
      <c r="P86" s="54"/>
      <c r="Q86" s="54">
        <f>N86-92.85</f>
        <v>-88.47</v>
      </c>
      <c r="R86" s="130">
        <f>N86/92.85</f>
        <v>0.04717285945072698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46">
        <v>91.71</v>
      </c>
      <c r="G88" s="43">
        <f t="shared" si="17"/>
        <v>21.709999999999994</v>
      </c>
      <c r="H88" s="35"/>
      <c r="I88" s="53">
        <f t="shared" si="18"/>
        <v>-2408.29</v>
      </c>
      <c r="J88" s="53">
        <f t="shared" si="21"/>
        <v>3.668399999999999</v>
      </c>
      <c r="K88" s="53">
        <f>F88-1435</f>
        <v>-1343.29</v>
      </c>
      <c r="L88" s="53">
        <f>F88/1435*100</f>
        <v>6.390940766550522</v>
      </c>
      <c r="M88" s="35">
        <f>E88-березень!E90</f>
        <v>70</v>
      </c>
      <c r="N88" s="35">
        <f>F88-березень!F90</f>
        <v>58.239999999999995</v>
      </c>
      <c r="O88" s="47">
        <f t="shared" si="19"/>
        <v>-11.760000000000005</v>
      </c>
      <c r="P88" s="53"/>
      <c r="Q88" s="53">
        <f>N88-0.04</f>
        <v>58.199999999999996</v>
      </c>
      <c r="R88" s="129">
        <f>N88/0.04</f>
        <v>1455.9999999999998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46">
        <v>1671.96</v>
      </c>
      <c r="G89" s="43">
        <f t="shared" si="17"/>
        <v>172.98000000000002</v>
      </c>
      <c r="H89" s="35">
        <f t="shared" si="20"/>
        <v>111.53984709602528</v>
      </c>
      <c r="I89" s="53">
        <f t="shared" si="18"/>
        <v>-9904.04</v>
      </c>
      <c r="J89" s="53">
        <f t="shared" si="21"/>
        <v>14.443331029716655</v>
      </c>
      <c r="K89" s="53">
        <f>F89-1487.49</f>
        <v>184.47000000000003</v>
      </c>
      <c r="L89" s="53">
        <f>F89/1487.49*100</f>
        <v>112.40142790875905</v>
      </c>
      <c r="M89" s="35">
        <f>E89-березень!E91</f>
        <v>960.85</v>
      </c>
      <c r="N89" s="35">
        <f>F89-березень!F91</f>
        <v>262.18000000000006</v>
      </c>
      <c r="O89" s="47">
        <f t="shared" si="19"/>
        <v>-698.67</v>
      </c>
      <c r="P89" s="53">
        <f>N89/M89*100</f>
        <v>27.28625695998335</v>
      </c>
      <c r="Q89" s="53">
        <f>N89-450.01</f>
        <v>-187.82999999999993</v>
      </c>
      <c r="R89" s="129">
        <f>N89/450.01</f>
        <v>0.5826092753494369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46">
        <v>11.28</v>
      </c>
      <c r="G90" s="43">
        <f t="shared" si="17"/>
        <v>-433.02000000000004</v>
      </c>
      <c r="H90" s="35">
        <f t="shared" si="20"/>
        <v>2.5388251181634027</v>
      </c>
      <c r="I90" s="53">
        <f t="shared" si="18"/>
        <v>-2988.72</v>
      </c>
      <c r="J90" s="53">
        <f t="shared" si="21"/>
        <v>0.376</v>
      </c>
      <c r="K90" s="53">
        <f>F90-577.27</f>
        <v>-565.99</v>
      </c>
      <c r="L90" s="53">
        <f>F90/577.27*100</f>
        <v>1.954024979645573</v>
      </c>
      <c r="M90" s="35">
        <f>E90-березень!E92</f>
        <v>148.10000000000002</v>
      </c>
      <c r="N90" s="35">
        <f>F90-березень!F92</f>
        <v>0.21999999999999886</v>
      </c>
      <c r="O90" s="47">
        <f t="shared" si="19"/>
        <v>-147.88000000000002</v>
      </c>
      <c r="P90" s="53">
        <f>N90/M90*100</f>
        <v>0.14854827819041108</v>
      </c>
      <c r="Q90" s="53">
        <f>N90-1.05</f>
        <v>-0.8300000000000012</v>
      </c>
      <c r="R90" s="129">
        <f>N90/1.05</f>
        <v>0.20952380952380842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45">
        <f>F88+F89+F90</f>
        <v>1774.95</v>
      </c>
      <c r="G91" s="55">
        <f t="shared" si="17"/>
        <v>-238.32999999999993</v>
      </c>
      <c r="H91" s="65">
        <f t="shared" si="20"/>
        <v>88.16210363188429</v>
      </c>
      <c r="I91" s="54">
        <f t="shared" si="18"/>
        <v>-15301.05</v>
      </c>
      <c r="J91" s="54">
        <f t="shared" si="21"/>
        <v>10.394413211524947</v>
      </c>
      <c r="K91" s="54">
        <f>F91-3499.76</f>
        <v>-1724.8100000000002</v>
      </c>
      <c r="L91" s="54">
        <f>F91/3499.96*100</f>
        <v>50.71343672499115</v>
      </c>
      <c r="M91" s="55">
        <f>M88+M89+M90</f>
        <v>1178.9499999999998</v>
      </c>
      <c r="N91" s="55">
        <f>N88+N89+N90</f>
        <v>320.6400000000001</v>
      </c>
      <c r="O91" s="54">
        <f t="shared" si="19"/>
        <v>-858.3099999999997</v>
      </c>
      <c r="P91" s="54">
        <f>N91/M91*100</f>
        <v>27.197082149370218</v>
      </c>
      <c r="Q91" s="54">
        <f>N91-7985.28</f>
        <v>-7664.639999999999</v>
      </c>
      <c r="R91" s="173">
        <f>N91/7985.28</f>
        <v>0.04015388314498679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46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46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0.58</v>
      </c>
      <c r="G95" s="43">
        <f>F95-E95</f>
        <v>0.58</v>
      </c>
      <c r="H95" s="35"/>
      <c r="I95" s="53">
        <f>F95-D95</f>
        <v>0.58</v>
      </c>
      <c r="J95" s="53"/>
      <c r="K95" s="53">
        <f>F95-(-0.27)</f>
        <v>0.85</v>
      </c>
      <c r="L95" s="53">
        <f>F95/(-0.27)*100</f>
        <v>-214.81481481481478</v>
      </c>
      <c r="M95" s="35">
        <f>E95-березень!E97</f>
        <v>0</v>
      </c>
      <c r="N95" s="35">
        <f>F95-березень!F97</f>
        <v>0</v>
      </c>
      <c r="O95" s="47">
        <f>N95-M95</f>
        <v>0</v>
      </c>
      <c r="P95" s="53"/>
      <c r="Q95" s="53">
        <f>N95-(-0.21)</f>
        <v>0.21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45">
        <f>F92+F95+F94</f>
        <v>0.58</v>
      </c>
      <c r="G96" s="55">
        <f>F96-E96</f>
        <v>-18.42</v>
      </c>
      <c r="H96" s="65"/>
      <c r="I96" s="54">
        <f>F96-D96</f>
        <v>-53.42</v>
      </c>
      <c r="J96" s="54">
        <f>F96/D96*100</f>
        <v>1.074074074074074</v>
      </c>
      <c r="K96" s="54">
        <f>F96-27.14</f>
        <v>-26.560000000000002</v>
      </c>
      <c r="L96" s="54">
        <f>F96/27.14*100</f>
        <v>2.1370670596904935</v>
      </c>
      <c r="M96" s="55">
        <f>M92+M95+M94</f>
        <v>15</v>
      </c>
      <c r="N96" s="55">
        <f>N92+N95+N94</f>
        <v>0</v>
      </c>
      <c r="O96" s="54">
        <f>N96-M96</f>
        <v>-15</v>
      </c>
      <c r="P96" s="54"/>
      <c r="Q96" s="54">
        <f>N96-26.38</f>
        <v>-26.38</v>
      </c>
      <c r="R96" s="128">
        <f>N96/26.38</f>
        <v>0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46">
        <v>13.02</v>
      </c>
      <c r="G97" s="43">
        <f>F97-E97</f>
        <v>0.23000000000000043</v>
      </c>
      <c r="H97" s="35">
        <f>F97/E97*100</f>
        <v>101.79827990617672</v>
      </c>
      <c r="I97" s="53">
        <f>F97-D97</f>
        <v>-28.98</v>
      </c>
      <c r="J97" s="53">
        <f>F97/D97*100</f>
        <v>31</v>
      </c>
      <c r="K97" s="53">
        <f>F97-12.19</f>
        <v>0.8300000000000001</v>
      </c>
      <c r="L97" s="53">
        <f>F97/12.19*100</f>
        <v>106.80885972108285</v>
      </c>
      <c r="M97" s="35">
        <f>E97-березень!E99</f>
        <v>1.1999999999999993</v>
      </c>
      <c r="N97" s="35">
        <f>F97-березень!F99</f>
        <v>0.07000000000000028</v>
      </c>
      <c r="O97" s="47">
        <f>N97-M97</f>
        <v>-1.129999999999999</v>
      </c>
      <c r="P97" s="53">
        <f>N97/M97*100</f>
        <v>5.833333333333361</v>
      </c>
      <c r="Q97" s="53">
        <f>N97-0.45</f>
        <v>-0.3799999999999997</v>
      </c>
      <c r="R97" s="129">
        <f>N97/0.45</f>
        <v>0.1555555555555562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2045.07</v>
      </c>
      <c r="F98" s="27">
        <f>F86+F97+F91+F96</f>
        <v>1778.28</v>
      </c>
      <c r="G98" s="44">
        <f>F98-E98</f>
        <v>-266.78999999999996</v>
      </c>
      <c r="H98" s="45">
        <f>F98/E98*100</f>
        <v>86.95448077571916</v>
      </c>
      <c r="I98" s="31">
        <f>F98-D98</f>
        <v>-15393.72</v>
      </c>
      <c r="J98" s="31">
        <f>F98/D98*100</f>
        <v>10.35569531795947</v>
      </c>
      <c r="K98" s="31">
        <f>K86+K91+K96+K97</f>
        <v>-1649.6100000000001</v>
      </c>
      <c r="L98" s="31"/>
      <c r="M98" s="27">
        <f>M86+M97+M91+M96</f>
        <v>1195.1499999999999</v>
      </c>
      <c r="N98" s="27">
        <f>N86+N97+N91+N96</f>
        <v>325.0900000000001</v>
      </c>
      <c r="O98" s="31">
        <f>N98-M98</f>
        <v>-870.0599999999997</v>
      </c>
      <c r="P98" s="31">
        <f>N98/M98*100</f>
        <v>27.200769777852162</v>
      </c>
      <c r="Q98" s="31">
        <f>N98-8104.96</f>
        <v>-7779.87</v>
      </c>
      <c r="R98" s="127">
        <f>N98/8104.96</f>
        <v>0.040110006711939365</v>
      </c>
    </row>
    <row r="99" spans="2:18" ht="18.75">
      <c r="B99" s="24" t="s">
        <v>115</v>
      </c>
      <c r="C99" s="88"/>
      <c r="D99" s="27">
        <f>D79+D98</f>
        <v>547194.6</v>
      </c>
      <c r="E99" s="27">
        <f>E79+E98</f>
        <v>183536.9</v>
      </c>
      <c r="F99" s="27">
        <f>F79+F98</f>
        <v>172122.85999999996</v>
      </c>
      <c r="G99" s="44">
        <f>F99-E99</f>
        <v>-11414.040000000037</v>
      </c>
      <c r="H99" s="45">
        <f>F99/E99*100</f>
        <v>93.78106527897113</v>
      </c>
      <c r="I99" s="31">
        <f>F99-D99</f>
        <v>-375071.74</v>
      </c>
      <c r="J99" s="31">
        <f>F99/D99*100</f>
        <v>31.45551143962312</v>
      </c>
      <c r="K99" s="31">
        <f>K79+K98</f>
        <v>12853.53</v>
      </c>
      <c r="L99" s="31"/>
      <c r="M99" s="18">
        <f>M79+M98</f>
        <v>43986.2</v>
      </c>
      <c r="N99" s="18">
        <f>N79+N98</f>
        <v>23531.489999999994</v>
      </c>
      <c r="O99" s="31">
        <f>N99-M99</f>
        <v>-20454.710000000003</v>
      </c>
      <c r="P99" s="31">
        <f>N99/M99*100</f>
        <v>53.49743783277482</v>
      </c>
      <c r="Q99" s="31">
        <f>N99-42872.96</f>
        <v>-19341.470000000005</v>
      </c>
      <c r="R99" s="127">
        <f>N99/42872.96</f>
        <v>0.5488655320276462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10</v>
      </c>
      <c r="D101" s="4" t="s">
        <v>118</v>
      </c>
    </row>
    <row r="102" spans="2:17" ht="31.5">
      <c r="B102" s="71" t="s">
        <v>154</v>
      </c>
      <c r="C102" s="34">
        <f>IF(O79&lt;0,ABS(O79/C101),0)</f>
        <v>1958.4650000000001</v>
      </c>
      <c r="D102" s="4" t="s">
        <v>104</v>
      </c>
      <c r="G102" s="202"/>
      <c r="H102" s="202"/>
      <c r="I102" s="202"/>
      <c r="J102" s="202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42110</v>
      </c>
      <c r="D103" s="34">
        <v>2047.7</v>
      </c>
      <c r="N103" s="197"/>
      <c r="O103" s="197"/>
    </row>
    <row r="104" spans="3:15" ht="15.75">
      <c r="C104" s="111">
        <v>42109</v>
      </c>
      <c r="D104" s="34">
        <v>3994.9</v>
      </c>
      <c r="F104" s="155" t="s">
        <v>166</v>
      </c>
      <c r="G104" s="188"/>
      <c r="H104" s="188"/>
      <c r="I104" s="177"/>
      <c r="J104" s="195"/>
      <c r="K104" s="195"/>
      <c r="L104" s="195"/>
      <c r="M104" s="195"/>
      <c r="N104" s="197"/>
      <c r="O104" s="197"/>
    </row>
    <row r="105" spans="3:15" ht="15.75" customHeight="1">
      <c r="C105" s="111">
        <v>42108</v>
      </c>
      <c r="D105" s="34">
        <v>1565.5</v>
      </c>
      <c r="G105" s="194" t="s">
        <v>151</v>
      </c>
      <c r="H105" s="194"/>
      <c r="I105" s="106">
        <v>8909.73221</v>
      </c>
      <c r="J105" s="196"/>
      <c r="K105" s="196"/>
      <c r="L105" s="196"/>
      <c r="M105" s="196"/>
      <c r="N105" s="197"/>
      <c r="O105" s="197"/>
    </row>
    <row r="106" spans="7:13" ht="15.75" customHeight="1">
      <c r="G106" s="198" t="s">
        <v>234</v>
      </c>
      <c r="H106" s="199"/>
      <c r="I106" s="103">
        <v>0</v>
      </c>
      <c r="J106" s="195"/>
      <c r="K106" s="195"/>
      <c r="L106" s="195"/>
      <c r="M106" s="195"/>
    </row>
    <row r="107" spans="2:13" ht="18.75" customHeight="1">
      <c r="B107" s="192" t="s">
        <v>160</v>
      </c>
      <c r="C107" s="193"/>
      <c r="D107" s="108">
        <v>146877.89868</v>
      </c>
      <c r="E107" s="73"/>
      <c r="F107" s="156" t="s">
        <v>147</v>
      </c>
      <c r="G107" s="194" t="s">
        <v>149</v>
      </c>
      <c r="H107" s="194"/>
      <c r="I107" s="107">
        <v>137968.16647</v>
      </c>
      <c r="J107" s="195"/>
      <c r="K107" s="195"/>
      <c r="L107" s="195"/>
      <c r="M107" s="195"/>
    </row>
    <row r="108" spans="7:12" ht="9.75" customHeight="1">
      <c r="G108" s="188"/>
      <c r="H108" s="188"/>
      <c r="I108" s="90"/>
      <c r="J108" s="91"/>
      <c r="K108" s="91"/>
      <c r="L108" s="91"/>
    </row>
    <row r="109" spans="2:12" ht="22.5" customHeight="1" hidden="1">
      <c r="B109" s="189" t="s">
        <v>167</v>
      </c>
      <c r="C109" s="190"/>
      <c r="D109" s="110">
        <v>0</v>
      </c>
      <c r="E109" s="70" t="s">
        <v>104</v>
      </c>
      <c r="G109" s="188"/>
      <c r="H109" s="188"/>
      <c r="I109" s="90"/>
      <c r="J109" s="91"/>
      <c r="K109" s="91"/>
      <c r="L109" s="91"/>
    </row>
    <row r="110" spans="4:15" ht="15.75">
      <c r="D110" s="105"/>
      <c r="N110" s="188"/>
      <c r="O110" s="188"/>
    </row>
    <row r="111" spans="4:15" ht="15.75">
      <c r="D111" s="104"/>
      <c r="I111" s="34"/>
      <c r="N111" s="191"/>
      <c r="O111" s="191"/>
    </row>
    <row r="112" spans="14:15" ht="15.75">
      <c r="N112" s="188"/>
      <c r="O112" s="188"/>
    </row>
    <row r="116" ht="15.75">
      <c r="E116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15" right="0.18" top="0.36" bottom="0.34" header="0.24" footer="0.29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6" t="s">
        <v>235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117"/>
      <c r="R1" s="118"/>
    </row>
    <row r="2" spans="2:18" s="1" customFormat="1" ht="15.75" customHeight="1">
      <c r="B2" s="184"/>
      <c r="C2" s="184"/>
      <c r="D2" s="18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183"/>
      <c r="C3" s="217" t="s">
        <v>0</v>
      </c>
      <c r="D3" s="218" t="s">
        <v>216</v>
      </c>
      <c r="E3" s="40"/>
      <c r="F3" s="219" t="s">
        <v>107</v>
      </c>
      <c r="G3" s="220"/>
      <c r="H3" s="220"/>
      <c r="I3" s="220"/>
      <c r="J3" s="221"/>
      <c r="K3" s="114"/>
      <c r="L3" s="114"/>
      <c r="M3" s="222" t="s">
        <v>231</v>
      </c>
      <c r="N3" s="223" t="s">
        <v>232</v>
      </c>
      <c r="O3" s="223"/>
      <c r="P3" s="223"/>
      <c r="Q3" s="223"/>
      <c r="R3" s="223"/>
    </row>
    <row r="4" spans="1:18" ht="22.5" customHeight="1">
      <c r="A4" s="185"/>
      <c r="B4" s="183"/>
      <c r="C4" s="217"/>
      <c r="D4" s="218"/>
      <c r="E4" s="224" t="s">
        <v>228</v>
      </c>
      <c r="F4" s="210" t="s">
        <v>116</v>
      </c>
      <c r="G4" s="212" t="s">
        <v>229</v>
      </c>
      <c r="H4" s="214" t="s">
        <v>230</v>
      </c>
      <c r="I4" s="207" t="s">
        <v>217</v>
      </c>
      <c r="J4" s="203" t="s">
        <v>218</v>
      </c>
      <c r="K4" s="116" t="s">
        <v>172</v>
      </c>
      <c r="L4" s="121" t="s">
        <v>171</v>
      </c>
      <c r="M4" s="203"/>
      <c r="N4" s="205" t="s">
        <v>236</v>
      </c>
      <c r="O4" s="207" t="s">
        <v>136</v>
      </c>
      <c r="P4" s="209" t="s">
        <v>135</v>
      </c>
      <c r="Q4" s="122" t="s">
        <v>172</v>
      </c>
      <c r="R4" s="123" t="s">
        <v>171</v>
      </c>
    </row>
    <row r="5" spans="1:19" ht="92.25" customHeight="1">
      <c r="A5" s="182"/>
      <c r="B5" s="183"/>
      <c r="C5" s="217"/>
      <c r="D5" s="218"/>
      <c r="E5" s="225"/>
      <c r="F5" s="211"/>
      <c r="G5" s="213"/>
      <c r="H5" s="215"/>
      <c r="I5" s="208"/>
      <c r="J5" s="204"/>
      <c r="K5" s="200" t="s">
        <v>233</v>
      </c>
      <c r="L5" s="201"/>
      <c r="M5" s="204"/>
      <c r="N5" s="206"/>
      <c r="O5" s="208"/>
      <c r="P5" s="209"/>
      <c r="Q5" s="200" t="s">
        <v>176</v>
      </c>
      <c r="R5" s="20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F72/198.87*100</f>
        <v>1097.189118519636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/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02"/>
      <c r="H104" s="202"/>
      <c r="I104" s="202"/>
      <c r="J104" s="202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197"/>
      <c r="O105" s="197"/>
    </row>
    <row r="106" spans="3:15" ht="15.75">
      <c r="C106" s="111">
        <v>42093</v>
      </c>
      <c r="D106" s="34">
        <v>8025</v>
      </c>
      <c r="F106" s="155" t="s">
        <v>166</v>
      </c>
      <c r="G106" s="188"/>
      <c r="H106" s="188"/>
      <c r="I106" s="177"/>
      <c r="J106" s="195"/>
      <c r="K106" s="195"/>
      <c r="L106" s="195"/>
      <c r="M106" s="195"/>
      <c r="N106" s="197"/>
      <c r="O106" s="197"/>
    </row>
    <row r="107" spans="3:15" ht="15.75" customHeight="1">
      <c r="C107" s="111">
        <v>42090</v>
      </c>
      <c r="D107" s="34">
        <v>4282.6</v>
      </c>
      <c r="G107" s="194" t="s">
        <v>151</v>
      </c>
      <c r="H107" s="194"/>
      <c r="I107" s="106">
        <f>8909732.21/1000</f>
        <v>8909.73221</v>
      </c>
      <c r="J107" s="196"/>
      <c r="K107" s="196"/>
      <c r="L107" s="196"/>
      <c r="M107" s="196"/>
      <c r="N107" s="197"/>
      <c r="O107" s="197"/>
    </row>
    <row r="108" spans="7:13" ht="15.75" customHeight="1">
      <c r="G108" s="198" t="s">
        <v>234</v>
      </c>
      <c r="H108" s="199"/>
      <c r="I108" s="103">
        <v>0</v>
      </c>
      <c r="J108" s="195"/>
      <c r="K108" s="195"/>
      <c r="L108" s="195"/>
      <c r="M108" s="195"/>
    </row>
    <row r="109" spans="2:13" ht="18.75" customHeight="1">
      <c r="B109" s="192" t="s">
        <v>160</v>
      </c>
      <c r="C109" s="193"/>
      <c r="D109" s="108">
        <f>147433239.77/1000</f>
        <v>147433.23977000001</v>
      </c>
      <c r="E109" s="73"/>
      <c r="F109" s="156" t="s">
        <v>147</v>
      </c>
      <c r="G109" s="194" t="s">
        <v>149</v>
      </c>
      <c r="H109" s="194"/>
      <c r="I109" s="107">
        <f>138523507.56/1000</f>
        <v>138523.50756</v>
      </c>
      <c r="J109" s="195"/>
      <c r="K109" s="195"/>
      <c r="L109" s="195"/>
      <c r="M109" s="195"/>
    </row>
    <row r="110" spans="7:12" ht="9.75" customHeight="1">
      <c r="G110" s="188"/>
      <c r="H110" s="188"/>
      <c r="I110" s="90"/>
      <c r="J110" s="91"/>
      <c r="K110" s="91"/>
      <c r="L110" s="91"/>
    </row>
    <row r="111" spans="2:12" ht="22.5" customHeight="1" hidden="1">
      <c r="B111" s="189" t="s">
        <v>167</v>
      </c>
      <c r="C111" s="190"/>
      <c r="D111" s="110">
        <v>0</v>
      </c>
      <c r="E111" s="70" t="s">
        <v>104</v>
      </c>
      <c r="G111" s="188"/>
      <c r="H111" s="188"/>
      <c r="I111" s="90"/>
      <c r="J111" s="91"/>
      <c r="K111" s="91"/>
      <c r="L111" s="91"/>
    </row>
    <row r="112" spans="4:15" ht="15.75">
      <c r="D112" s="105"/>
      <c r="N112" s="188"/>
      <c r="O112" s="188"/>
    </row>
    <row r="113" spans="4:15" ht="15.75">
      <c r="D113" s="104"/>
      <c r="I113" s="34"/>
      <c r="N113" s="191"/>
      <c r="O113" s="191"/>
    </row>
    <row r="114" spans="14:15" ht="15.75">
      <c r="N114" s="188"/>
      <c r="O114" s="18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6" t="s">
        <v>227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117"/>
      <c r="R1" s="118"/>
    </row>
    <row r="2" spans="2:18" s="1" customFormat="1" ht="15.75" customHeight="1">
      <c r="B2" s="184"/>
      <c r="C2" s="184"/>
      <c r="D2" s="18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183" t="s">
        <v>205</v>
      </c>
      <c r="C3" s="217" t="s">
        <v>0</v>
      </c>
      <c r="D3" s="218" t="s">
        <v>216</v>
      </c>
      <c r="E3" s="40"/>
      <c r="F3" s="219" t="s">
        <v>107</v>
      </c>
      <c r="G3" s="220"/>
      <c r="H3" s="220"/>
      <c r="I3" s="220"/>
      <c r="J3" s="221"/>
      <c r="K3" s="114"/>
      <c r="L3" s="114"/>
      <c r="M3" s="222" t="s">
        <v>221</v>
      </c>
      <c r="N3" s="223" t="s">
        <v>202</v>
      </c>
      <c r="O3" s="223"/>
      <c r="P3" s="223"/>
      <c r="Q3" s="223"/>
      <c r="R3" s="223"/>
    </row>
    <row r="4" spans="1:18" ht="22.5" customHeight="1">
      <c r="A4" s="185"/>
      <c r="B4" s="183"/>
      <c r="C4" s="217"/>
      <c r="D4" s="218"/>
      <c r="E4" s="224" t="s">
        <v>199</v>
      </c>
      <c r="F4" s="210" t="s">
        <v>116</v>
      </c>
      <c r="G4" s="212" t="s">
        <v>200</v>
      </c>
      <c r="H4" s="214" t="s">
        <v>201</v>
      </c>
      <c r="I4" s="207" t="s">
        <v>217</v>
      </c>
      <c r="J4" s="203" t="s">
        <v>218</v>
      </c>
      <c r="K4" s="116" t="s">
        <v>172</v>
      </c>
      <c r="L4" s="121" t="s">
        <v>171</v>
      </c>
      <c r="M4" s="203"/>
      <c r="N4" s="205" t="s">
        <v>226</v>
      </c>
      <c r="O4" s="207" t="s">
        <v>136</v>
      </c>
      <c r="P4" s="209" t="s">
        <v>135</v>
      </c>
      <c r="Q4" s="122" t="s">
        <v>172</v>
      </c>
      <c r="R4" s="123" t="s">
        <v>171</v>
      </c>
    </row>
    <row r="5" spans="1:19" ht="92.25" customHeight="1">
      <c r="A5" s="182"/>
      <c r="B5" s="183"/>
      <c r="C5" s="217"/>
      <c r="D5" s="218"/>
      <c r="E5" s="225"/>
      <c r="F5" s="211"/>
      <c r="G5" s="213"/>
      <c r="H5" s="215"/>
      <c r="I5" s="208"/>
      <c r="J5" s="204"/>
      <c r="K5" s="200" t="s">
        <v>224</v>
      </c>
      <c r="L5" s="201"/>
      <c r="M5" s="204"/>
      <c r="N5" s="206"/>
      <c r="O5" s="208"/>
      <c r="P5" s="209"/>
      <c r="Q5" s="200" t="s">
        <v>176</v>
      </c>
      <c r="R5" s="20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02"/>
      <c r="H104" s="202"/>
      <c r="I104" s="202"/>
      <c r="J104" s="202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7"/>
      <c r="O105" s="197"/>
    </row>
    <row r="106" spans="3:15" ht="15.75">
      <c r="C106" s="111">
        <v>42061</v>
      </c>
      <c r="D106" s="34">
        <v>6003.3</v>
      </c>
      <c r="F106" s="155" t="s">
        <v>166</v>
      </c>
      <c r="G106" s="188"/>
      <c r="H106" s="188"/>
      <c r="I106" s="177"/>
      <c r="J106" s="195"/>
      <c r="K106" s="195"/>
      <c r="L106" s="195"/>
      <c r="M106" s="195"/>
      <c r="N106" s="197"/>
      <c r="O106" s="197"/>
    </row>
    <row r="107" spans="3:15" ht="15.75" customHeight="1">
      <c r="C107" s="111">
        <v>42060</v>
      </c>
      <c r="D107" s="34">
        <v>1551.3</v>
      </c>
      <c r="G107" s="194" t="s">
        <v>151</v>
      </c>
      <c r="H107" s="194"/>
      <c r="I107" s="106">
        <v>8909.73221</v>
      </c>
      <c r="J107" s="196"/>
      <c r="K107" s="196"/>
      <c r="L107" s="196"/>
      <c r="M107" s="196"/>
      <c r="N107" s="197"/>
      <c r="O107" s="197"/>
    </row>
    <row r="108" spans="7:13" ht="15.75" customHeight="1">
      <c r="G108" s="226" t="s">
        <v>155</v>
      </c>
      <c r="H108" s="226"/>
      <c r="I108" s="103">
        <v>0</v>
      </c>
      <c r="J108" s="195"/>
      <c r="K108" s="195"/>
      <c r="L108" s="195"/>
      <c r="M108" s="195"/>
    </row>
    <row r="109" spans="2:13" ht="18.75" customHeight="1">
      <c r="B109" s="192" t="s">
        <v>160</v>
      </c>
      <c r="C109" s="193"/>
      <c r="D109" s="108">
        <f>138305956.27/1000</f>
        <v>138305.95627000002</v>
      </c>
      <c r="E109" s="73"/>
      <c r="F109" s="156" t="s">
        <v>147</v>
      </c>
      <c r="G109" s="194" t="s">
        <v>149</v>
      </c>
      <c r="H109" s="194"/>
      <c r="I109" s="107">
        <v>129396.23</v>
      </c>
      <c r="J109" s="195"/>
      <c r="K109" s="195"/>
      <c r="L109" s="195"/>
      <c r="M109" s="195"/>
    </row>
    <row r="110" spans="7:12" ht="9.75" customHeight="1">
      <c r="G110" s="188"/>
      <c r="H110" s="188"/>
      <c r="I110" s="90"/>
      <c r="J110" s="91"/>
      <c r="K110" s="91"/>
      <c r="L110" s="91"/>
    </row>
    <row r="111" spans="2:12" ht="22.5" customHeight="1" hidden="1">
      <c r="B111" s="189" t="s">
        <v>167</v>
      </c>
      <c r="C111" s="190"/>
      <c r="D111" s="110">
        <v>0</v>
      </c>
      <c r="E111" s="70" t="s">
        <v>104</v>
      </c>
      <c r="G111" s="188"/>
      <c r="H111" s="188"/>
      <c r="I111" s="90"/>
      <c r="J111" s="91"/>
      <c r="K111" s="91"/>
      <c r="L111" s="91"/>
    </row>
    <row r="112" spans="4:15" ht="15.75">
      <c r="D112" s="105"/>
      <c r="N112" s="188"/>
      <c r="O112" s="188"/>
    </row>
    <row r="113" spans="4:15" ht="15.75">
      <c r="D113" s="104"/>
      <c r="I113" s="34"/>
      <c r="N113" s="191"/>
      <c r="O113" s="191"/>
    </row>
    <row r="114" spans="14:15" ht="15.75">
      <c r="N114" s="188"/>
      <c r="O114" s="18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6" t="s">
        <v>193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117"/>
      <c r="R1" s="118"/>
    </row>
    <row r="2" spans="2:18" s="1" customFormat="1" ht="15.75" customHeight="1">
      <c r="B2" s="184"/>
      <c r="C2" s="184"/>
      <c r="D2" s="18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183" t="s">
        <v>205</v>
      </c>
      <c r="C3" s="217" t="s">
        <v>0</v>
      </c>
      <c r="D3" s="218" t="s">
        <v>216</v>
      </c>
      <c r="E3" s="40"/>
      <c r="F3" s="219" t="s">
        <v>107</v>
      </c>
      <c r="G3" s="220"/>
      <c r="H3" s="220"/>
      <c r="I3" s="220"/>
      <c r="J3" s="221"/>
      <c r="K3" s="114"/>
      <c r="L3" s="114"/>
      <c r="M3" s="222" t="s">
        <v>220</v>
      </c>
      <c r="N3" s="223" t="s">
        <v>175</v>
      </c>
      <c r="O3" s="223"/>
      <c r="P3" s="223"/>
      <c r="Q3" s="223"/>
      <c r="R3" s="223"/>
    </row>
    <row r="4" spans="1:18" ht="22.5" customHeight="1">
      <c r="A4" s="185"/>
      <c r="B4" s="183"/>
      <c r="C4" s="217"/>
      <c r="D4" s="218"/>
      <c r="E4" s="224" t="s">
        <v>219</v>
      </c>
      <c r="F4" s="210" t="s">
        <v>116</v>
      </c>
      <c r="G4" s="212" t="s">
        <v>173</v>
      </c>
      <c r="H4" s="227" t="s">
        <v>174</v>
      </c>
      <c r="I4" s="229" t="s">
        <v>217</v>
      </c>
      <c r="J4" s="232" t="s">
        <v>218</v>
      </c>
      <c r="K4" s="116" t="s">
        <v>172</v>
      </c>
      <c r="L4" s="121" t="s">
        <v>171</v>
      </c>
      <c r="M4" s="203"/>
      <c r="N4" s="205" t="s">
        <v>194</v>
      </c>
      <c r="O4" s="229" t="s">
        <v>136</v>
      </c>
      <c r="P4" s="223" t="s">
        <v>135</v>
      </c>
      <c r="Q4" s="122" t="s">
        <v>172</v>
      </c>
      <c r="R4" s="123" t="s">
        <v>171</v>
      </c>
    </row>
    <row r="5" spans="1:19" ht="92.25" customHeight="1">
      <c r="A5" s="182"/>
      <c r="B5" s="183"/>
      <c r="C5" s="217"/>
      <c r="D5" s="218"/>
      <c r="E5" s="225"/>
      <c r="F5" s="211"/>
      <c r="G5" s="213"/>
      <c r="H5" s="228"/>
      <c r="I5" s="230"/>
      <c r="J5" s="233"/>
      <c r="K5" s="200" t="s">
        <v>188</v>
      </c>
      <c r="L5" s="201"/>
      <c r="M5" s="204"/>
      <c r="N5" s="206"/>
      <c r="O5" s="230"/>
      <c r="P5" s="223"/>
      <c r="Q5" s="200" t="s">
        <v>176</v>
      </c>
      <c r="R5" s="20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02"/>
      <c r="H102" s="202"/>
      <c r="I102" s="202"/>
      <c r="J102" s="202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7"/>
      <c r="O103" s="197"/>
    </row>
    <row r="104" spans="3:15" ht="15.75">
      <c r="C104" s="111">
        <v>42033</v>
      </c>
      <c r="D104" s="34">
        <v>2896.5</v>
      </c>
      <c r="F104" s="155" t="s">
        <v>166</v>
      </c>
      <c r="G104" s="194" t="s">
        <v>151</v>
      </c>
      <c r="H104" s="194"/>
      <c r="I104" s="106">
        <f>'січень '!I139</f>
        <v>8909.733</v>
      </c>
      <c r="J104" s="231" t="s">
        <v>161</v>
      </c>
      <c r="K104" s="231"/>
      <c r="L104" s="231"/>
      <c r="M104" s="231"/>
      <c r="N104" s="197"/>
      <c r="O104" s="197"/>
    </row>
    <row r="105" spans="3:15" ht="15.75">
      <c r="C105" s="111">
        <v>42032</v>
      </c>
      <c r="D105" s="34">
        <v>2838.1</v>
      </c>
      <c r="G105" s="226" t="s">
        <v>155</v>
      </c>
      <c r="H105" s="226"/>
      <c r="I105" s="103">
        <f>'січень '!I140</f>
        <v>0</v>
      </c>
      <c r="J105" s="234" t="s">
        <v>162</v>
      </c>
      <c r="K105" s="234"/>
      <c r="L105" s="234"/>
      <c r="M105" s="234"/>
      <c r="N105" s="197"/>
      <c r="O105" s="197"/>
    </row>
    <row r="106" spans="7:13" ht="15.75" customHeight="1">
      <c r="G106" s="194" t="s">
        <v>148</v>
      </c>
      <c r="H106" s="194"/>
      <c r="I106" s="103">
        <f>'січень '!I141</f>
        <v>0</v>
      </c>
      <c r="J106" s="231" t="s">
        <v>163</v>
      </c>
      <c r="K106" s="231"/>
      <c r="L106" s="231"/>
      <c r="M106" s="231"/>
    </row>
    <row r="107" spans="2:13" ht="18.75" customHeight="1">
      <c r="B107" s="192" t="s">
        <v>160</v>
      </c>
      <c r="C107" s="193"/>
      <c r="D107" s="108">
        <f>'січень '!D142</f>
        <v>132375.63</v>
      </c>
      <c r="E107" s="73"/>
      <c r="F107" s="156" t="s">
        <v>147</v>
      </c>
      <c r="G107" s="194" t="s">
        <v>149</v>
      </c>
      <c r="H107" s="194"/>
      <c r="I107" s="107">
        <f>'січень '!I142</f>
        <v>123465.893</v>
      </c>
      <c r="J107" s="231" t="s">
        <v>164</v>
      </c>
      <c r="K107" s="231"/>
      <c r="L107" s="231"/>
      <c r="M107" s="231"/>
    </row>
    <row r="108" spans="7:12" ht="9.75" customHeight="1">
      <c r="G108" s="188"/>
      <c r="H108" s="188"/>
      <c r="I108" s="90"/>
      <c r="J108" s="91"/>
      <c r="K108" s="91"/>
      <c r="L108" s="91"/>
    </row>
    <row r="109" spans="2:12" ht="22.5" customHeight="1" hidden="1">
      <c r="B109" s="189" t="s">
        <v>167</v>
      </c>
      <c r="C109" s="190"/>
      <c r="D109" s="110">
        <v>0</v>
      </c>
      <c r="E109" s="70" t="s">
        <v>104</v>
      </c>
      <c r="G109" s="188"/>
      <c r="H109" s="188"/>
      <c r="I109" s="90"/>
      <c r="J109" s="91"/>
      <c r="K109" s="91"/>
      <c r="L109" s="91"/>
    </row>
    <row r="110" spans="4:15" ht="15.75">
      <c r="D110" s="105"/>
      <c r="N110" s="188"/>
      <c r="O110" s="188"/>
    </row>
    <row r="111" spans="4:15" ht="15.75">
      <c r="D111" s="104"/>
      <c r="I111" s="34"/>
      <c r="N111" s="191"/>
      <c r="O111" s="191"/>
    </row>
    <row r="112" spans="14:15" ht="15.75">
      <c r="N112" s="188"/>
      <c r="O112" s="18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16" t="s">
        <v>193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117"/>
      <c r="R1" s="118"/>
    </row>
    <row r="2" spans="2:18" s="1" customFormat="1" ht="15.75" customHeight="1">
      <c r="B2" s="184"/>
      <c r="C2" s="184"/>
      <c r="D2" s="18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183" t="s">
        <v>203</v>
      </c>
      <c r="C3" s="217" t="s">
        <v>0</v>
      </c>
      <c r="D3" s="218" t="s">
        <v>190</v>
      </c>
      <c r="E3" s="40"/>
      <c r="F3" s="219" t="s">
        <v>107</v>
      </c>
      <c r="G3" s="220"/>
      <c r="H3" s="220"/>
      <c r="I3" s="220"/>
      <c r="J3" s="221"/>
      <c r="K3" s="114"/>
      <c r="L3" s="114"/>
      <c r="M3" s="222" t="s">
        <v>187</v>
      </c>
      <c r="N3" s="223" t="s">
        <v>175</v>
      </c>
      <c r="O3" s="223"/>
      <c r="P3" s="223"/>
      <c r="Q3" s="223"/>
      <c r="R3" s="223"/>
    </row>
    <row r="4" spans="1:18" ht="22.5" customHeight="1">
      <c r="A4" s="185"/>
      <c r="B4" s="183"/>
      <c r="C4" s="217"/>
      <c r="D4" s="218"/>
      <c r="E4" s="224" t="s">
        <v>153</v>
      </c>
      <c r="F4" s="210" t="s">
        <v>116</v>
      </c>
      <c r="G4" s="212" t="s">
        <v>173</v>
      </c>
      <c r="H4" s="227" t="s">
        <v>174</v>
      </c>
      <c r="I4" s="229" t="s">
        <v>186</v>
      </c>
      <c r="J4" s="232" t="s">
        <v>189</v>
      </c>
      <c r="K4" s="116" t="s">
        <v>172</v>
      </c>
      <c r="L4" s="121" t="s">
        <v>171</v>
      </c>
      <c r="M4" s="203"/>
      <c r="N4" s="205" t="s">
        <v>194</v>
      </c>
      <c r="O4" s="229" t="s">
        <v>136</v>
      </c>
      <c r="P4" s="223" t="s">
        <v>135</v>
      </c>
      <c r="Q4" s="122" t="s">
        <v>172</v>
      </c>
      <c r="R4" s="123" t="s">
        <v>171</v>
      </c>
    </row>
    <row r="5" spans="1:19" ht="92.25" customHeight="1">
      <c r="A5" s="182"/>
      <c r="B5" s="183"/>
      <c r="C5" s="217"/>
      <c r="D5" s="218"/>
      <c r="E5" s="225"/>
      <c r="F5" s="211"/>
      <c r="G5" s="213"/>
      <c r="H5" s="228"/>
      <c r="I5" s="230"/>
      <c r="J5" s="233"/>
      <c r="K5" s="200" t="s">
        <v>188</v>
      </c>
      <c r="L5" s="201"/>
      <c r="M5" s="204"/>
      <c r="N5" s="206"/>
      <c r="O5" s="230"/>
      <c r="P5" s="223"/>
      <c r="Q5" s="200" t="s">
        <v>176</v>
      </c>
      <c r="R5" s="201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02"/>
      <c r="H137" s="202"/>
      <c r="I137" s="202"/>
      <c r="J137" s="202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7"/>
      <c r="O138" s="197"/>
    </row>
    <row r="139" spans="3:15" ht="15.75">
      <c r="C139" s="111">
        <v>42033</v>
      </c>
      <c r="D139" s="34">
        <v>2896.5</v>
      </c>
      <c r="F139" s="155" t="s">
        <v>166</v>
      </c>
      <c r="G139" s="194" t="s">
        <v>151</v>
      </c>
      <c r="H139" s="194"/>
      <c r="I139" s="106">
        <f>8909.733</f>
        <v>8909.733</v>
      </c>
      <c r="J139" s="231" t="s">
        <v>161</v>
      </c>
      <c r="K139" s="231"/>
      <c r="L139" s="231"/>
      <c r="M139" s="231"/>
      <c r="N139" s="197"/>
      <c r="O139" s="197"/>
    </row>
    <row r="140" spans="3:15" ht="15.75">
      <c r="C140" s="111">
        <v>42032</v>
      </c>
      <c r="D140" s="34">
        <v>2838.1</v>
      </c>
      <c r="G140" s="226" t="s">
        <v>155</v>
      </c>
      <c r="H140" s="226"/>
      <c r="I140" s="103">
        <v>0</v>
      </c>
      <c r="J140" s="234" t="s">
        <v>162</v>
      </c>
      <c r="K140" s="234"/>
      <c r="L140" s="234"/>
      <c r="M140" s="234"/>
      <c r="N140" s="197"/>
      <c r="O140" s="197"/>
    </row>
    <row r="141" spans="7:13" ht="15.75" customHeight="1">
      <c r="G141" s="194" t="s">
        <v>148</v>
      </c>
      <c r="H141" s="194"/>
      <c r="I141" s="103">
        <v>0</v>
      </c>
      <c r="J141" s="231" t="s">
        <v>163</v>
      </c>
      <c r="K141" s="231"/>
      <c r="L141" s="231"/>
      <c r="M141" s="231"/>
    </row>
    <row r="142" spans="2:13" ht="18.75" customHeight="1">
      <c r="B142" s="192" t="s">
        <v>160</v>
      </c>
      <c r="C142" s="193"/>
      <c r="D142" s="108">
        <f>132375.63</f>
        <v>132375.63</v>
      </c>
      <c r="E142" s="73"/>
      <c r="F142" s="156" t="s">
        <v>147</v>
      </c>
      <c r="G142" s="194" t="s">
        <v>149</v>
      </c>
      <c r="H142" s="194"/>
      <c r="I142" s="107">
        <f>123465.893</f>
        <v>123465.893</v>
      </c>
      <c r="J142" s="231" t="s">
        <v>164</v>
      </c>
      <c r="K142" s="231"/>
      <c r="L142" s="231"/>
      <c r="M142" s="231"/>
    </row>
    <row r="143" spans="7:12" ht="9.75" customHeight="1">
      <c r="G143" s="188"/>
      <c r="H143" s="188"/>
      <c r="I143" s="90"/>
      <c r="J143" s="91"/>
      <c r="K143" s="91"/>
      <c r="L143" s="91"/>
    </row>
    <row r="144" spans="2:12" ht="22.5" customHeight="1" hidden="1">
      <c r="B144" s="189" t="s">
        <v>167</v>
      </c>
      <c r="C144" s="190"/>
      <c r="D144" s="110">
        <v>0</v>
      </c>
      <c r="E144" s="70" t="s">
        <v>104</v>
      </c>
      <c r="G144" s="188"/>
      <c r="H144" s="188"/>
      <c r="I144" s="90"/>
      <c r="J144" s="91"/>
      <c r="K144" s="91"/>
      <c r="L144" s="91"/>
    </row>
    <row r="145" spans="4:15" ht="15.75">
      <c r="D145" s="105"/>
      <c r="N145" s="188"/>
      <c r="O145" s="188"/>
    </row>
    <row r="146" spans="4:15" ht="15.75">
      <c r="D146" s="104"/>
      <c r="I146" s="34"/>
      <c r="N146" s="191"/>
      <c r="O146" s="191"/>
    </row>
    <row r="147" spans="14:15" ht="15.75">
      <c r="N147" s="188"/>
      <c r="O147" s="18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2015-04-16T11:48:09Z</cp:lastPrinted>
  <dcterms:created xsi:type="dcterms:W3CDTF">2003-07-28T11:27:56Z</dcterms:created>
  <dcterms:modified xsi:type="dcterms:W3CDTF">2015-04-17T09:20:54Z</dcterms:modified>
  <cp:category/>
  <cp:version/>
  <cp:contentType/>
  <cp:contentStatus/>
</cp:coreProperties>
</file>